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228" windowHeight="7776"/>
  </bookViews>
  <sheets>
    <sheet name="1415 prosp" sheetId="1" r:id="rId1"/>
  </sheets>
  <definedNames>
    <definedName name="_xlnm.Print_Area" localSheetId="0">'1415 prosp'!$A$1:$G$59</definedName>
  </definedNames>
  <calcPr calcId="145621"/>
</workbook>
</file>

<file path=xl/calcChain.xml><?xml version="1.0" encoding="utf-8"?>
<calcChain xmlns="http://schemas.openxmlformats.org/spreadsheetml/2006/main">
  <c r="F32" i="1" l="1"/>
  <c r="F31" i="1"/>
  <c r="B37" i="1"/>
  <c r="B31" i="1"/>
  <c r="B29" i="1"/>
  <c r="C29" i="1" s="1"/>
  <c r="B28" i="1"/>
  <c r="C28" i="1"/>
  <c r="B18" i="1"/>
  <c r="F11" i="1"/>
  <c r="C12" i="1"/>
  <c r="F12" i="1"/>
  <c r="F35" i="1"/>
  <c r="G35" i="1" s="1"/>
  <c r="F34" i="1"/>
  <c r="G34" i="1" s="1"/>
  <c r="F6" i="1"/>
  <c r="G24" i="1" s="1"/>
  <c r="B17" i="1"/>
  <c r="C17" i="1" s="1"/>
  <c r="B34" i="1"/>
  <c r="C34" i="1" s="1"/>
  <c r="B35" i="1"/>
  <c r="C35" i="1" s="1"/>
  <c r="C14" i="1"/>
  <c r="C23" i="1"/>
  <c r="C11" i="1"/>
  <c r="C13" i="1"/>
  <c r="C15" i="1"/>
  <c r="G13" i="1"/>
  <c r="C16" i="1"/>
  <c r="G14" i="1"/>
  <c r="C19" i="1"/>
  <c r="C24" i="1"/>
  <c r="F29" i="1" l="1"/>
  <c r="G29" i="1" s="1"/>
  <c r="G25" i="1"/>
  <c r="G17" i="1"/>
  <c r="B20" i="1"/>
  <c r="C20" i="1"/>
  <c r="B22" i="1" s="1"/>
  <c r="F28" i="1"/>
  <c r="G28" i="1" s="1"/>
  <c r="F16" i="1"/>
  <c r="C18" i="1"/>
  <c r="G12" i="1"/>
  <c r="G23" i="1"/>
  <c r="F15" i="1"/>
  <c r="G11" i="1"/>
  <c r="G15" i="1" l="1"/>
  <c r="F18" i="1"/>
  <c r="C22" i="1"/>
  <c r="B32" i="1"/>
  <c r="G16" i="1"/>
  <c r="B25" i="1"/>
  <c r="C25" i="1" s="1"/>
  <c r="C31" i="1" l="1"/>
  <c r="C32" i="1"/>
  <c r="B38" i="1"/>
  <c r="C38" i="1" s="1"/>
  <c r="G20" i="1" s="1"/>
  <c r="G18" i="1"/>
  <c r="B39" i="1" l="1"/>
  <c r="C37" i="1"/>
  <c r="G19" i="1" s="1"/>
  <c r="G21" i="1" l="1"/>
  <c r="C39" i="1"/>
  <c r="G32" i="1"/>
  <c r="F38" i="1"/>
  <c r="G38" i="1" s="1"/>
  <c r="F22" i="1" l="1"/>
  <c r="G31" i="1"/>
  <c r="F37" i="1"/>
  <c r="G37" i="1" l="1"/>
  <c r="G39" i="1" s="1"/>
  <c r="F39" i="1"/>
  <c r="G22" i="1"/>
  <c r="F26" i="1"/>
  <c r="G26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E12" authorId="0">
      <text>
        <r>
          <rPr>
            <b/>
            <sz val="10"/>
            <color indexed="81"/>
            <rFont val="Tahoma"/>
            <family val="2"/>
          </rPr>
          <t>2011-12 recon adjusted DC costs (excl depr) inflated by 3.0% + 2011-12 DC depr (no growth).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10"/>
            <color indexed="81"/>
            <rFont val="Tahoma"/>
            <family val="2"/>
          </rPr>
          <t>Revenues are allocated NDC/DC on a pro-rata basis of adjusted NDC (less median)/DC costs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10"/>
            <color indexed="81"/>
            <rFont val="Tahoma"/>
            <family val="2"/>
          </rPr>
          <t>TCS is allocated NDC/DC on a pro-rata basis of NDC/DC costs before TCS calculation.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NDC per diem costs held to 2011-12 recon reimb per diem NDC $59.98.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10"/>
            <color indexed="81"/>
            <rFont val="Tahoma"/>
            <family val="2"/>
          </rPr>
          <t>DC per diem costs held to 2011-12 recon reimb per diem DC $141.51 + 3.0% = $145.76.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10"/>
            <color indexed="81"/>
            <rFont val="Tahoma"/>
            <family val="2"/>
          </rPr>
          <t>Reimb $$ NDC = adjusted NDC costs - median adj - offsetting revs NDC - NDC screen + NDC screen waiver - TCS NDC + TCS waiver NDC.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10"/>
            <color indexed="81"/>
            <rFont val="Tahoma"/>
            <family val="2"/>
          </rPr>
          <t>NDC Reimb $$ = adj NDC costs - median adj - offsetting revs NDC - NDC screen + NDC screen waiver - TCS NDC + TCS waiver NDC.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0"/>
            <color indexed="81"/>
            <rFont val="Tahoma"/>
            <family val="2"/>
          </rPr>
          <t>Reimb $$ DC = adjusted DC costs - offsetting revs DC - TCS DC + TCS waiver DC.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10"/>
            <color indexed="81"/>
            <rFont val="Tahoma"/>
            <family val="2"/>
          </rPr>
          <t>DC Reimb $$ = adjusted DC costs - offsetting revs DC - TCS DC + TCS waiver DC.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<sst xmlns="http://schemas.openxmlformats.org/spreadsheetml/2006/main" count="64" uniqueCount="38">
  <si>
    <t>CARE DAYS</t>
  </si>
  <si>
    <t>DC TREND</t>
  </si>
  <si>
    <t>PER</t>
  </si>
  <si>
    <t>AMOUNT</t>
  </si>
  <si>
    <t>DIEM</t>
  </si>
  <si>
    <t>NDC COSTS</t>
  </si>
  <si>
    <t>DC COSTS</t>
  </si>
  <si>
    <t>MEDIAN ADJ</t>
  </si>
  <si>
    <t>OFFSETTING REVS</t>
  </si>
  <si>
    <t>GROSS COSTS</t>
  </si>
  <si>
    <t>NDC SCREEN</t>
  </si>
  <si>
    <t>NDC WAIVER</t>
  </si>
  <si>
    <t>COSTS BEFORE TCS</t>
  </si>
  <si>
    <t>TCS</t>
  </si>
  <si>
    <t>TCS WAIVER</t>
  </si>
  <si>
    <t>MAX PER DIEM</t>
  </si>
  <si>
    <t>REIMB $</t>
  </si>
  <si>
    <t>TOTAL REIMB $$</t>
  </si>
  <si>
    <t>TSG WAIVER</t>
  </si>
  <si>
    <t>OFFSET REVS - NDC</t>
  </si>
  <si>
    <t>OFFSET REVS - DC</t>
  </si>
  <si>
    <t>TCS - NDC</t>
  </si>
  <si>
    <t>TCS - DC</t>
  </si>
  <si>
    <t>TCS WAIVER - NDC</t>
  </si>
  <si>
    <t>TCS WAIVER - DC</t>
  </si>
  <si>
    <t>REIMB $$ - NDC</t>
  </si>
  <si>
    <t>REIMB $$ - DC</t>
  </si>
  <si>
    <t>DC COSTS - DEPR</t>
  </si>
  <si>
    <t>2012-13 RECON</t>
  </si>
  <si>
    <t>2014-15 PROSP</t>
  </si>
  <si>
    <t>2011-12 RECON PD</t>
  </si>
  <si>
    <t>2014-15 School Age Methodology - Prospective Tuition Rates</t>
  </si>
  <si>
    <t>NDC TREND</t>
  </si>
  <si>
    <t>NDC RECON PD + 3.8%</t>
  </si>
  <si>
    <t>DC RECON PD + 6.9%</t>
  </si>
  <si>
    <t>NDC COSTS - DEPR/INT</t>
  </si>
  <si>
    <t xml:space="preserve"> 2) 2012-13 NDC per diem plus 3.8%</t>
  </si>
  <si>
    <t>Two 2014-15 prosp TCS calculations: 1) 2012-13 DC recon per diem plus 6.9%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</si>
</sst>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164" formatCode="0.0%"/>
    <numFmt numFmtId="165" formatCode="&quot;$&quot;#,##0.00"/>
  </numFmts>
  <fonts count="6" x14ac:knownFonts="1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37" fontId="0" fillId="0" borderId="0" xfId="0" applyNumberFormat="1"/>
    <xf numFmtId="164" fontId="0" fillId="0" borderId="0" xfId="0" applyNumberFormat="1"/>
    <xf numFmtId="5" fontId="2" fillId="0" borderId="0" xfId="0" applyNumberFormat="1" applyFont="1"/>
    <xf numFmtId="0" fontId="2" fillId="0" borderId="0" xfId="0" applyFont="1" applyAlignment="1">
      <alignment horizontal="right"/>
    </xf>
    <xf numFmtId="7" fontId="0" fillId="0" borderId="0" xfId="0" applyNumberFormat="1" applyAlignment="1">
      <alignment horizontal="right"/>
    </xf>
    <xf numFmtId="5" fontId="0" fillId="0" borderId="0" xfId="0" applyNumberFormat="1" applyBorder="1"/>
    <xf numFmtId="7" fontId="0" fillId="0" borderId="0" xfId="0" applyNumberFormat="1" applyBorder="1" applyAlignment="1">
      <alignment horizontal="right"/>
    </xf>
    <xf numFmtId="5" fontId="0" fillId="0" borderId="1" xfId="0" applyNumberFormat="1" applyBorder="1"/>
    <xf numFmtId="7" fontId="0" fillId="0" borderId="1" xfId="0" applyNumberFormat="1" applyBorder="1" applyAlignment="1">
      <alignment horizontal="right"/>
    </xf>
    <xf numFmtId="165" fontId="0" fillId="0" borderId="0" xfId="0" applyNumberFormat="1"/>
    <xf numFmtId="165" fontId="0" fillId="0" borderId="1" xfId="0" applyNumberFormat="1" applyBorder="1"/>
    <xf numFmtId="7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37" fontId="0" fillId="2" borderId="0" xfId="0" applyNumberFormat="1" applyFill="1"/>
    <xf numFmtId="5" fontId="0" fillId="2" borderId="0" xfId="0" applyNumberFormat="1" applyFill="1"/>
    <xf numFmtId="5" fontId="0" fillId="2" borderId="0" xfId="0" applyNumberFormat="1" applyFill="1" applyBorder="1"/>
    <xf numFmtId="5" fontId="0" fillId="2" borderId="1" xfId="0" applyNumberFormat="1" applyFill="1" applyBorder="1"/>
    <xf numFmtId="7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3" sqref="D3"/>
    </sheetView>
  </sheetViews>
  <sheetFormatPr defaultRowHeight="13.2" x14ac:dyDescent="0.25"/>
  <cols>
    <col min="1" max="1" width="22" bestFit="1" customWidth="1"/>
    <col min="2" max="2" width="13.44140625" style="1" bestFit="1" customWidth="1"/>
    <col min="3" max="3" width="9.5546875" style="2" customWidth="1"/>
    <col min="4" max="4" width="4" customWidth="1"/>
    <col min="5" max="5" width="21.88671875" customWidth="1"/>
    <col min="6" max="6" width="12.33203125" bestFit="1" customWidth="1"/>
    <col min="7" max="7" width="10.88671875" customWidth="1"/>
  </cols>
  <sheetData>
    <row r="1" spans="1:7" x14ac:dyDescent="0.25">
      <c r="D1" s="3" t="s">
        <v>31</v>
      </c>
    </row>
    <row r="2" spans="1:7" x14ac:dyDescent="0.25">
      <c r="D2" s="26" t="s">
        <v>37</v>
      </c>
    </row>
    <row r="3" spans="1:7" x14ac:dyDescent="0.25">
      <c r="D3" s="25" t="s">
        <v>36</v>
      </c>
    </row>
    <row r="5" spans="1:7" x14ac:dyDescent="0.25">
      <c r="A5" s="4" t="s">
        <v>28</v>
      </c>
      <c r="E5" s="4" t="s">
        <v>29</v>
      </c>
      <c r="F5" s="1"/>
      <c r="G5" s="2"/>
    </row>
    <row r="6" spans="1:7" x14ac:dyDescent="0.25">
      <c r="A6" t="s">
        <v>0</v>
      </c>
      <c r="B6" s="20">
        <v>2000</v>
      </c>
      <c r="E6" t="s">
        <v>0</v>
      </c>
      <c r="F6" s="5">
        <f>B6</f>
        <v>2000</v>
      </c>
      <c r="G6" s="2"/>
    </row>
    <row r="7" spans="1:7" x14ac:dyDescent="0.25">
      <c r="B7" s="5"/>
      <c r="E7" t="s">
        <v>1</v>
      </c>
      <c r="F7" s="6">
        <v>6.9000000000000006E-2</v>
      </c>
      <c r="G7" s="2"/>
    </row>
    <row r="8" spans="1:7" x14ac:dyDescent="0.25">
      <c r="B8" s="5"/>
      <c r="E8" t="s">
        <v>32</v>
      </c>
      <c r="F8" s="6">
        <v>3.7999999999999999E-2</v>
      </c>
      <c r="G8" s="2"/>
    </row>
    <row r="9" spans="1:7" x14ac:dyDescent="0.25">
      <c r="B9" s="5"/>
      <c r="C9" s="2" t="s">
        <v>2</v>
      </c>
      <c r="F9" s="5"/>
      <c r="G9" s="2" t="s">
        <v>2</v>
      </c>
    </row>
    <row r="10" spans="1:7" x14ac:dyDescent="0.25">
      <c r="B10" s="7" t="s">
        <v>3</v>
      </c>
      <c r="C10" s="8" t="s">
        <v>4</v>
      </c>
      <c r="F10" s="7" t="s">
        <v>3</v>
      </c>
      <c r="G10" s="8" t="s">
        <v>4</v>
      </c>
    </row>
    <row r="11" spans="1:7" x14ac:dyDescent="0.25">
      <c r="A11" t="s">
        <v>5</v>
      </c>
      <c r="B11" s="21">
        <v>140000</v>
      </c>
      <c r="C11" s="9">
        <f t="shared" ref="C11:C12" si="0">B11/$B$6</f>
        <v>70</v>
      </c>
      <c r="E11" t="s">
        <v>5</v>
      </c>
      <c r="F11" s="1">
        <f>B11*(1+F8)+B12</f>
        <v>150320</v>
      </c>
      <c r="G11" s="9">
        <f>F11/$F$6</f>
        <v>75.16</v>
      </c>
    </row>
    <row r="12" spans="1:7" x14ac:dyDescent="0.25">
      <c r="A12" t="s">
        <v>35</v>
      </c>
      <c r="B12" s="21">
        <v>5000</v>
      </c>
      <c r="C12" s="9">
        <f t="shared" si="0"/>
        <v>2.5</v>
      </c>
      <c r="E12" t="s">
        <v>6</v>
      </c>
      <c r="F12" s="10">
        <f>B13*(1+F7)+B14</f>
        <v>319624.93400000001</v>
      </c>
      <c r="G12" s="11">
        <f>F12/$F$6</f>
        <v>159.812467</v>
      </c>
    </row>
    <row r="13" spans="1:7" x14ac:dyDescent="0.25">
      <c r="A13" t="s">
        <v>6</v>
      </c>
      <c r="B13" s="22">
        <v>298086</v>
      </c>
      <c r="C13" s="11">
        <f t="shared" ref="C13:C20" si="1">B13/$B$6</f>
        <v>149.04300000000001</v>
      </c>
      <c r="E13" t="s">
        <v>7</v>
      </c>
      <c r="F13" s="21">
        <v>-2000</v>
      </c>
      <c r="G13" s="11">
        <f>F13/$B$6</f>
        <v>-1</v>
      </c>
    </row>
    <row r="14" spans="1:7" x14ac:dyDescent="0.25">
      <c r="A14" t="s">
        <v>27</v>
      </c>
      <c r="B14" s="22">
        <v>971</v>
      </c>
      <c r="C14" s="11">
        <f t="shared" si="1"/>
        <v>0.48549999999999999</v>
      </c>
      <c r="E14" t="s">
        <v>8</v>
      </c>
      <c r="F14" s="23">
        <v>-2500</v>
      </c>
      <c r="G14" s="13">
        <f>F14/$B$6</f>
        <v>-1.25</v>
      </c>
    </row>
    <row r="15" spans="1:7" x14ac:dyDescent="0.25">
      <c r="A15" t="s">
        <v>7</v>
      </c>
      <c r="B15" s="21">
        <v>-2000</v>
      </c>
      <c r="C15" s="11">
        <f t="shared" si="1"/>
        <v>-1</v>
      </c>
      <c r="E15" t="s">
        <v>9</v>
      </c>
      <c r="F15" s="1">
        <f>SUM(F11:F14)</f>
        <v>465444.93400000001</v>
      </c>
      <c r="G15" s="9">
        <f>F15/$F$6</f>
        <v>232.72246699999999</v>
      </c>
    </row>
    <row r="16" spans="1:7" x14ac:dyDescent="0.25">
      <c r="A16" t="s">
        <v>8</v>
      </c>
      <c r="B16" s="23">
        <v>-2500</v>
      </c>
      <c r="C16" s="13">
        <f t="shared" si="1"/>
        <v>-1.25</v>
      </c>
      <c r="E16" t="s">
        <v>10</v>
      </c>
      <c r="F16" s="10">
        <f>IF((F12*0.4286)&lt;F11+F13,(F12*0.4286)-(F11+F13),0)</f>
        <v>-11328.753287600004</v>
      </c>
      <c r="G16" s="11">
        <f>F16/$F$6</f>
        <v>-5.6643766438000025</v>
      </c>
    </row>
    <row r="17" spans="1:7" x14ac:dyDescent="0.25">
      <c r="A17" t="s">
        <v>9</v>
      </c>
      <c r="B17" s="1">
        <f>SUM(B11:B16)</f>
        <v>439557</v>
      </c>
      <c r="C17" s="9">
        <f t="shared" si="1"/>
        <v>219.77850000000001</v>
      </c>
      <c r="E17" t="s">
        <v>11</v>
      </c>
      <c r="F17" s="23">
        <v>0</v>
      </c>
      <c r="G17" s="13">
        <f>F17/$F$6</f>
        <v>0</v>
      </c>
    </row>
    <row r="18" spans="1:7" x14ac:dyDescent="0.25">
      <c r="A18" t="s">
        <v>10</v>
      </c>
      <c r="B18" s="10">
        <f>IF(((B13+B14)*0.4286)&lt;B11++B12+B15,((B13+B14)*0.4286)-(B11+B12+B15),0)</f>
        <v>-14824.169800000003</v>
      </c>
      <c r="C18" s="11">
        <f t="shared" si="1"/>
        <v>-7.4120849000000018</v>
      </c>
      <c r="E18" t="s">
        <v>12</v>
      </c>
      <c r="F18" s="1">
        <f>F15+F16</f>
        <v>454116.1807124</v>
      </c>
      <c r="G18" s="11">
        <f>F18/$F$6</f>
        <v>227.05809035620001</v>
      </c>
    </row>
    <row r="19" spans="1:7" x14ac:dyDescent="0.25">
      <c r="A19" t="s">
        <v>11</v>
      </c>
      <c r="B19" s="23">
        <v>0</v>
      </c>
      <c r="C19" s="13">
        <f t="shared" si="1"/>
        <v>0</v>
      </c>
      <c r="E19" t="s">
        <v>33</v>
      </c>
      <c r="G19" s="14">
        <f>C37*(1+F8)</f>
        <v>62.254222786005947</v>
      </c>
    </row>
    <row r="20" spans="1:7" x14ac:dyDescent="0.25">
      <c r="A20" t="s">
        <v>12</v>
      </c>
      <c r="B20" s="1">
        <f>B17+B18+B19</f>
        <v>424732.83019999997</v>
      </c>
      <c r="C20" s="11">
        <f t="shared" si="1"/>
        <v>212.36641509999998</v>
      </c>
      <c r="E20" t="s">
        <v>34</v>
      </c>
      <c r="G20" s="15">
        <f>C38*(1+F7)</f>
        <v>149.68654705371836</v>
      </c>
    </row>
    <row r="21" spans="1:7" x14ac:dyDescent="0.25">
      <c r="A21" t="s">
        <v>30</v>
      </c>
      <c r="C21" s="24">
        <v>200</v>
      </c>
      <c r="E21" t="s">
        <v>15</v>
      </c>
      <c r="G21" s="14">
        <f>G19+G20</f>
        <v>211.94076983972431</v>
      </c>
    </row>
    <row r="22" spans="1:7" x14ac:dyDescent="0.25">
      <c r="A22" t="s">
        <v>13</v>
      </c>
      <c r="B22" s="10">
        <f>IF(C20&gt;C21,(C21-C20)*B6,0)</f>
        <v>-24732.830199999968</v>
      </c>
      <c r="C22" s="11">
        <f>B22/$B$6</f>
        <v>-12.366415099999983</v>
      </c>
      <c r="E22" t="s">
        <v>13</v>
      </c>
      <c r="F22" s="10">
        <f>SUM(F31:F32)</f>
        <v>-30234.641032951415</v>
      </c>
      <c r="G22" s="11">
        <f>F22/$F$6</f>
        <v>-15.117320516475708</v>
      </c>
    </row>
    <row r="23" spans="1:7" x14ac:dyDescent="0.25">
      <c r="A23" t="s">
        <v>18</v>
      </c>
      <c r="B23" s="22">
        <v>0</v>
      </c>
      <c r="C23" s="11">
        <f>B23/$B$6</f>
        <v>0</v>
      </c>
      <c r="E23" t="s">
        <v>18</v>
      </c>
      <c r="F23" s="22">
        <v>0</v>
      </c>
      <c r="G23" s="11">
        <f>F23/$F$6</f>
        <v>0</v>
      </c>
    </row>
    <row r="24" spans="1:7" x14ac:dyDescent="0.25">
      <c r="A24" t="s">
        <v>14</v>
      </c>
      <c r="B24" s="23">
        <v>0</v>
      </c>
      <c r="C24" s="13">
        <f>B24/$B$6</f>
        <v>0</v>
      </c>
      <c r="E24" t="s">
        <v>23</v>
      </c>
      <c r="F24" s="22">
        <v>0</v>
      </c>
      <c r="G24" s="11">
        <f>F24/$F$6</f>
        <v>0</v>
      </c>
    </row>
    <row r="25" spans="1:7" x14ac:dyDescent="0.25">
      <c r="A25" t="s">
        <v>16</v>
      </c>
      <c r="B25" s="1">
        <f>SUM(B20:B24)</f>
        <v>400000</v>
      </c>
      <c r="C25" s="11">
        <f>B25/$B$6</f>
        <v>200</v>
      </c>
      <c r="E25" t="s">
        <v>24</v>
      </c>
      <c r="F25" s="23">
        <v>0</v>
      </c>
      <c r="G25" s="13">
        <f>F25/$F$6</f>
        <v>0</v>
      </c>
    </row>
    <row r="26" spans="1:7" x14ac:dyDescent="0.25">
      <c r="E26" t="s">
        <v>16</v>
      </c>
      <c r="F26" s="1">
        <f>SUM(F18:F25)</f>
        <v>423881.53967944859</v>
      </c>
      <c r="G26" s="11">
        <f>F26/$F$6</f>
        <v>211.94076983972428</v>
      </c>
    </row>
    <row r="28" spans="1:7" x14ac:dyDescent="0.25">
      <c r="A28" t="s">
        <v>19</v>
      </c>
      <c r="B28" s="1">
        <f>B16*((B11+B12+B15)/(B11+B12+B13+B14+B15))</f>
        <v>-808.7192375643865</v>
      </c>
      <c r="C28" s="11">
        <f>B28/$B$6</f>
        <v>-0.40435961878219323</v>
      </c>
      <c r="E28" t="s">
        <v>19</v>
      </c>
      <c r="F28" s="1">
        <f>F14*((F11+F13)/(F11+F12+F13))</f>
        <v>-792.40092809723637</v>
      </c>
      <c r="G28" s="11">
        <f>F28/$B$6</f>
        <v>-0.3962004640486182</v>
      </c>
    </row>
    <row r="29" spans="1:7" x14ac:dyDescent="0.25">
      <c r="A29" t="s">
        <v>20</v>
      </c>
      <c r="B29" s="1">
        <f>B16*((B13+B14)/(B11+B12+B13+B14+B15))</f>
        <v>-1691.2807624356135</v>
      </c>
      <c r="C29" s="11">
        <f>B29/$B$6</f>
        <v>-0.84564038121780671</v>
      </c>
      <c r="E29" t="s">
        <v>20</v>
      </c>
      <c r="F29" s="1">
        <f>F14*(F12/(F11+F12+F13))</f>
        <v>-1707.5990719027636</v>
      </c>
      <c r="G29" s="11">
        <f>F29/$B$6</f>
        <v>-0.8537995359513818</v>
      </c>
    </row>
    <row r="30" spans="1:7" x14ac:dyDescent="0.25">
      <c r="F30" s="1"/>
      <c r="G30" s="2"/>
    </row>
    <row r="31" spans="1:7" x14ac:dyDescent="0.25">
      <c r="A31" t="s">
        <v>21</v>
      </c>
      <c r="B31" s="1">
        <f>B22*((B11+B12+B15+B28+B18+B19)/B20)</f>
        <v>-7416.7780414222252</v>
      </c>
      <c r="C31" s="11">
        <f>B31/$B$6</f>
        <v>-3.7083890207111128</v>
      </c>
      <c r="D31" s="16"/>
      <c r="E31" t="s">
        <v>21</v>
      </c>
      <c r="F31" s="1">
        <f>IF((F11+F13+F16+F28)/F6&gt;G19,(G19-(F11+F13+F16+F28)/F6)*F6,0)</f>
        <v>-11690.400212290868</v>
      </c>
      <c r="G31" s="11">
        <f>F31/$B$6</f>
        <v>-5.8452001061454339</v>
      </c>
    </row>
    <row r="32" spans="1:7" x14ac:dyDescent="0.25">
      <c r="A32" t="s">
        <v>22</v>
      </c>
      <c r="B32" s="1">
        <f>B22*((B13+B14+B29)/B20)</f>
        <v>-17316.052158577742</v>
      </c>
      <c r="C32" s="11">
        <f>B32/$B$6</f>
        <v>-8.6580260792888719</v>
      </c>
      <c r="E32" t="s">
        <v>22</v>
      </c>
      <c r="F32" s="1">
        <f>IF((F12+F29)/F6&gt;G20,(G20-(F12+F29)/F6)*F6,0)</f>
        <v>-18544.240820660547</v>
      </c>
      <c r="G32" s="11">
        <f>F32/$B$6</f>
        <v>-9.2721204103302739</v>
      </c>
    </row>
    <row r="33" spans="1:7" x14ac:dyDescent="0.25">
      <c r="F33" s="1"/>
      <c r="G33" s="2"/>
    </row>
    <row r="34" spans="1:7" x14ac:dyDescent="0.25">
      <c r="A34" t="s">
        <v>23</v>
      </c>
      <c r="B34" s="1">
        <f>IF(B24=0,0,B24*(B31/(B31+B32+B23)))</f>
        <v>0</v>
      </c>
      <c r="C34" s="11">
        <f>B34/$B$6</f>
        <v>0</v>
      </c>
      <c r="E34" t="s">
        <v>23</v>
      </c>
      <c r="F34" s="1">
        <f>F24</f>
        <v>0</v>
      </c>
      <c r="G34" s="11">
        <f>F34/$B$6</f>
        <v>0</v>
      </c>
    </row>
    <row r="35" spans="1:7" x14ac:dyDescent="0.25">
      <c r="A35" t="s">
        <v>24</v>
      </c>
      <c r="B35" s="1">
        <f>IF(B24=0,0,B24*((B32+B23)/(B31+B32+B23)))+B23</f>
        <v>0</v>
      </c>
      <c r="C35" s="11">
        <f>B35/$B$6</f>
        <v>0</v>
      </c>
      <c r="E35" t="s">
        <v>24</v>
      </c>
      <c r="F35" s="1">
        <f>F25</f>
        <v>0</v>
      </c>
      <c r="G35" s="11">
        <f>F35/$B$6</f>
        <v>0</v>
      </c>
    </row>
    <row r="37" spans="1:7" x14ac:dyDescent="0.25">
      <c r="A37" t="s">
        <v>25</v>
      </c>
      <c r="B37" s="1">
        <f>B11+B12+B15+B18++B19+B28+B31+B34</f>
        <v>119950.33292101338</v>
      </c>
      <c r="C37" s="11">
        <f>B37/$B$6</f>
        <v>59.975166460506692</v>
      </c>
      <c r="E37" t="s">
        <v>25</v>
      </c>
      <c r="F37" s="1">
        <f>F11+F13+F16++F17+F28+F31+F34</f>
        <v>124508.4455720119</v>
      </c>
      <c r="G37" s="11">
        <f>F37/$F$6</f>
        <v>62.254222786005947</v>
      </c>
    </row>
    <row r="38" spans="1:7" x14ac:dyDescent="0.25">
      <c r="A38" t="s">
        <v>26</v>
      </c>
      <c r="B38" s="12">
        <f>B13+B14+B29+B32+B35</f>
        <v>280049.66707898665</v>
      </c>
      <c r="C38" s="13">
        <f>B38/$B$6</f>
        <v>140.02483353949333</v>
      </c>
      <c r="E38" t="s">
        <v>26</v>
      </c>
      <c r="F38" s="12">
        <f>F12+F29+F32+F35</f>
        <v>299373.09410743671</v>
      </c>
      <c r="G38" s="13">
        <f>F38/$F$6</f>
        <v>149.68654705371836</v>
      </c>
    </row>
    <row r="39" spans="1:7" x14ac:dyDescent="0.25">
      <c r="A39" t="s">
        <v>17</v>
      </c>
      <c r="B39" s="1">
        <f>SUM(B37:B38)</f>
        <v>400000</v>
      </c>
      <c r="C39" s="9">
        <f>SUM(C37:C38)</f>
        <v>200.00000000000003</v>
      </c>
      <c r="E39" t="s">
        <v>17</v>
      </c>
      <c r="F39" s="1">
        <f>SUM(F37:F38)</f>
        <v>423881.53967944859</v>
      </c>
      <c r="G39" s="16">
        <f>SUM(G37:G38)</f>
        <v>211.94076983972431</v>
      </c>
    </row>
    <row r="40" spans="1:7" x14ac:dyDescent="0.25">
      <c r="A40" s="17"/>
      <c r="B40" s="10"/>
      <c r="C40" s="18"/>
      <c r="D40" s="17"/>
      <c r="E40" s="19"/>
      <c r="F40" s="17"/>
      <c r="G40" s="17"/>
    </row>
  </sheetData>
  <phoneticPr fontId="1" type="noConversion"/>
  <pageMargins left="0.75" right="0.75" top="0.5" bottom="0.5" header="0.5" footer="0.5"/>
  <pageSetup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1415 prosp</vt:lpstr>
      <vt:lpstr>'1415 prosp'!Print_Area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Zawistowski</dc:creator>
  <cp:lastModifiedBy>Administrator</cp:lastModifiedBy>
  <cp:lastPrinted>2013-08-15T13:57:25Z</cp:lastPrinted>
  <dcterms:created xsi:type="dcterms:W3CDTF">2013-08-12T15:23:18Z</dcterms:created>
  <dcterms:modified xsi:type="dcterms:W3CDTF">2014-08-21T16:22:16Z</dcterms:modified>
</cp:coreProperties>
</file>